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jeffresnick/Desktop/"/>
    </mc:Choice>
  </mc:AlternateContent>
  <xr:revisionPtr revIDLastSave="0" documentId="13_ncr:1_{DD4A6730-BBB7-6249-9198-7DDD673F1090}" xr6:coauthVersionLast="47" xr6:coauthVersionMax="47" xr10:uidLastSave="{00000000-0000-0000-0000-000000000000}"/>
  <bookViews>
    <workbookView xWindow="0" yWindow="660" windowWidth="34560" windowHeight="20160" xr2:uid="{00000000-000D-0000-FFFF-FFFF00000000}"/>
  </bookViews>
  <sheets>
    <sheet name="Dealer Calculator" sheetId="1" r:id="rId1"/>
    <sheet name="Overrun Guid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B18" i="2"/>
  <c r="B17" i="2"/>
  <c r="B12" i="2"/>
  <c r="I12" i="2" s="1"/>
  <c r="B11" i="2"/>
  <c r="E11" i="2" s="1"/>
  <c r="F11" i="2" s="1"/>
  <c r="B7" i="2"/>
  <c r="E20" i="1"/>
  <c r="B16" i="2" s="1"/>
  <c r="K18" i="1"/>
  <c r="I18" i="1"/>
  <c r="H18" i="1"/>
  <c r="I17" i="1"/>
  <c r="H17" i="1"/>
  <c r="K17" i="1" s="1"/>
  <c r="K16" i="1"/>
  <c r="I16" i="1"/>
  <c r="H16" i="1"/>
  <c r="I15" i="1"/>
  <c r="H15" i="1"/>
  <c r="K15" i="1" s="1"/>
  <c r="I14" i="1"/>
  <c r="H14" i="1"/>
  <c r="K14" i="1" s="1"/>
  <c r="J9" i="1"/>
  <c r="B7" i="1"/>
  <c r="F18" i="1" s="1"/>
  <c r="G18" i="1" s="1"/>
  <c r="J18" i="1" s="1"/>
  <c r="J12" i="2" l="1"/>
  <c r="E12" i="2"/>
  <c r="F12" i="2" s="1"/>
  <c r="F13" i="2" s="1"/>
  <c r="C12" i="2"/>
  <c r="D12" i="2" s="1"/>
  <c r="F14" i="1"/>
  <c r="G14" i="1" s="1"/>
  <c r="J14" i="1" s="1"/>
  <c r="L14" i="1" s="1"/>
  <c r="F17" i="1"/>
  <c r="G17" i="1" s="1"/>
  <c r="J17" i="1" s="1"/>
  <c r="L17" i="1" s="1"/>
  <c r="M17" i="1" s="1"/>
  <c r="G12" i="2"/>
  <c r="H12" i="2" s="1"/>
  <c r="B20" i="2"/>
  <c r="B21" i="2"/>
  <c r="F17" i="2"/>
  <c r="L18" i="1"/>
  <c r="M18" i="1" s="1"/>
  <c r="K20" i="1"/>
  <c r="L15" i="1"/>
  <c r="M15" i="1" s="1"/>
  <c r="C11" i="2"/>
  <c r="D11" i="2" s="1"/>
  <c r="G11" i="2"/>
  <c r="H11" i="2" s="1"/>
  <c r="F16" i="2" s="1"/>
  <c r="I20" i="1"/>
  <c r="F16" i="1"/>
  <c r="G16" i="1" s="1"/>
  <c r="J16" i="1" s="1"/>
  <c r="L16" i="1" s="1"/>
  <c r="M16" i="1" s="1"/>
  <c r="J5" i="1"/>
  <c r="I11" i="2"/>
  <c r="J11" i="2" s="1"/>
  <c r="J13" i="2" s="1"/>
  <c r="F15" i="1"/>
  <c r="G15" i="1" s="1"/>
  <c r="J15" i="1" s="1"/>
  <c r="B22" i="2" l="1"/>
  <c r="D13" i="2"/>
  <c r="J20" i="1"/>
  <c r="F19" i="2"/>
  <c r="L20" i="1"/>
  <c r="M14" i="1"/>
  <c r="M20" i="1" s="1"/>
  <c r="J6" i="1"/>
  <c r="J7" i="1" s="1"/>
  <c r="F18" i="2"/>
  <c r="H13" i="2"/>
  <c r="B24" i="2"/>
  <c r="B23" i="2"/>
  <c r="F20" i="2"/>
  <c r="F21" i="2" l="1"/>
  <c r="J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6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Choose the live scenario used on this sheet. Overrun assumptions are maintained on the Overrun Guide tab.</t>
        </r>
      </text>
    </comment>
    <comment ref="B8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Enter your landed mix cost per liquid ounce. This should be liquid volume, not finished served volume.</t>
        </r>
      </text>
    </comment>
    <comment ref="D14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Sample default pricing. Update to your actual menu price.</t>
        </r>
      </text>
    </comment>
    <comment ref="E14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Enter average daily units sold for each menu item.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Default air pump assumption. Adjust if your field testing shows a different result.</t>
        </r>
      </text>
    </comment>
    <comment ref="B6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Default gravity assumption. Set to 40% based on your latest comparison sheet.</t>
        </r>
      </text>
    </comment>
  </commentList>
</comments>
</file>

<file path=xl/sharedStrings.xml><?xml version="1.0" encoding="utf-8"?>
<sst xmlns="http://schemas.openxmlformats.org/spreadsheetml/2006/main" count="87" uniqueCount="79">
  <si>
    <t>Spaceman Soft Serve Profit &amp; Overrun Calculator</t>
  </si>
  <si>
    <t>Blue-font cells are editable. Live profitability updates from the overrun assumptions on the second tab.</t>
  </si>
  <si>
    <t>Core Inputs</t>
  </si>
  <si>
    <t>Packaging Costs</t>
  </si>
  <si>
    <t>Quick Take</t>
  </si>
  <si>
    <t>Days in period</t>
  </si>
  <si>
    <t>8 oz cup</t>
  </si>
  <si>
    <t>Daily revenue</t>
  </si>
  <si>
    <t>Overrun scenario</t>
  </si>
  <si>
    <t>Air Pump</t>
  </si>
  <si>
    <t>12 oz cup</t>
  </si>
  <si>
    <t>Daily gross profit</t>
  </si>
  <si>
    <t>Active overrun %</t>
  </si>
  <si>
    <t>Small cone</t>
  </si>
  <si>
    <t>Gross margin %</t>
  </si>
  <si>
    <t>Mix cost per liquid oz</t>
  </si>
  <si>
    <t>Large cone</t>
  </si>
  <si>
    <t>Annual mix savings: Air vs Gravity</t>
  </si>
  <si>
    <t>Gravity</t>
  </si>
  <si>
    <t>Input reminder</t>
  </si>
  <si>
    <t>Edit blue-font cells only</t>
  </si>
  <si>
    <t>Waffle cone</t>
  </si>
  <si>
    <t>Total servings / day</t>
  </si>
  <si>
    <t>Menu Mix &amp; Profitability</t>
  </si>
  <si>
    <t>Menu Item</t>
  </si>
  <si>
    <t>Serve Size (oz)</t>
  </si>
  <si>
    <t>Package</t>
  </si>
  <si>
    <t>Menu Price ($)</t>
  </si>
  <si>
    <t>Daily Servings</t>
  </si>
  <si>
    <t>Liquid Mix / Serve (oz)</t>
  </si>
  <si>
    <t>Mix Cost / Serve ($)</t>
  </si>
  <si>
    <t>Packaging Cost / Serve ($)</t>
  </si>
  <si>
    <t>Daily Revenue ($)</t>
  </si>
  <si>
    <t>Daily Mix Cost ($)</t>
  </si>
  <si>
    <t>Daily Packaging Cost ($)</t>
  </si>
  <si>
    <t>Daily Gross Profit ($)</t>
  </si>
  <si>
    <t>Period Gross Profit ($)</t>
  </si>
  <si>
    <t>4 oz cone</t>
  </si>
  <si>
    <t>6 oz cone</t>
  </si>
  <si>
    <t>Waffle cone (8 oz)</t>
  </si>
  <si>
    <t>Shake (12 oz)</t>
  </si>
  <si>
    <t>Totals</t>
  </si>
  <si>
    <t>All mix ounces shown are liquid volume before freezing. Formula used throughout: liquid mix required = finished serve size / (1 + overrun).</t>
  </si>
  <si>
    <t>Overrun Guide &amp; Dealer Talking Points</t>
  </si>
  <si>
    <t>Use this tab to explain the cost impact of overrun and compare Air Pump vs Gravity using the menu mix entered on the calculator tab.</t>
  </si>
  <si>
    <t>Overrun Assumptions</t>
  </si>
  <si>
    <t>Air Pump overrun %</t>
  </si>
  <si>
    <t>Gravity overrun %</t>
  </si>
  <si>
    <t>Mix cost / liquid oz</t>
  </si>
  <si>
    <t>Cost per Standard Finished Serving</t>
  </si>
  <si>
    <t>Scenario</t>
  </si>
  <si>
    <t>Overrun %</t>
  </si>
  <si>
    <t>4 oz liquid used</t>
  </si>
  <si>
    <t>4 oz mix cost</t>
  </si>
  <si>
    <t>6 oz liquid used</t>
  </si>
  <si>
    <t>6 oz mix cost</t>
  </si>
  <si>
    <t>8 oz liquid used</t>
  </si>
  <si>
    <t>8 oz mix cost</t>
  </si>
  <si>
    <t>12 oz liquid used</t>
  </si>
  <si>
    <t>12 oz mix cost</t>
  </si>
  <si>
    <t>Air Pump savings vs Gravity</t>
  </si>
  <si>
    <t>Savings Using Your Current Menu Mix</t>
  </si>
  <si>
    <t>Dealer Talking Points</t>
  </si>
  <si>
    <t>Daily servings</t>
  </si>
  <si>
    <t>8 oz mix cost - Air Pump</t>
  </si>
  <si>
    <t>Daily finished ounces</t>
  </si>
  <si>
    <t>8 oz mix cost - Gravity</t>
  </si>
  <si>
    <t>Daily liquid oz - Air Pump</t>
  </si>
  <si>
    <t>Savings per 8 oz serve</t>
  </si>
  <si>
    <t>Daily liquid oz - Gravity</t>
  </si>
  <si>
    <t>Savings per 12 oz serve</t>
  </si>
  <si>
    <t>Daily mix cost - Air Pump</t>
  </si>
  <si>
    <t>Current daily mix savings</t>
  </si>
  <si>
    <t>Daily mix cost - Gravity</t>
  </si>
  <si>
    <t>Current annualized savings</t>
  </si>
  <si>
    <t>Daily savings with Air Pump</t>
  </si>
  <si>
    <t>Period savings</t>
  </si>
  <si>
    <t>Annualized savings (365 days)</t>
  </si>
  <si>
    <t>Overrun adds air into the finished product. Higher overrun means less liquid mix is required to serve the same finished ounce size. Use the talking points above to show product-cost savings without changing menu price.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</si>
</sst>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[Red]\(#,##0\);\-"/>
    <numFmt numFmtId="165" formatCode="\$#,##0.00;[Red]\(\$#,##0.00\);\-"/>
    <numFmt numFmtId="166" formatCode="0.0%"/>
    <numFmt numFmtId="167" formatCode="#,##0.00;[Red]\(#,##0.00\);\-"/>
  </numFmts>
  <fonts count="12" x14ac:knownFonts="1">
    <font>
      <sz val="11"/>
      <color theme="1"/>
      <name val="Calibri"/>
      <family val="2"/>
      <scheme val="minor"/>
    </font>
    <font>
      <b/>
      <sz val="16"/>
      <color rgb="FFFFFFFF"/>
      <name val="Aptos"/>
    </font>
    <font>
      <i/>
      <sz val="10"/>
      <color rgb="FF44546A"/>
      <name val="Aptos"/>
    </font>
    <font>
      <b/>
      <sz val="11"/>
      <color rgb="FFFFFFFF"/>
      <name val="Aptos"/>
    </font>
    <font>
      <b/>
      <sz val="10"/>
      <color rgb="FF000000"/>
      <name val="Aptos"/>
    </font>
    <font>
      <sz val="10"/>
      <color rgb="FF0000FF"/>
      <name val="Aptos"/>
    </font>
    <font>
      <sz val="10"/>
      <color rgb="FF000000"/>
      <name val="Aptos"/>
    </font>
    <font>
      <sz val="10"/>
      <color rgb="FF666666"/>
      <name val="Aptos"/>
    </font>
    <font>
      <b/>
      <sz val="12"/>
      <color rgb="FF17365D"/>
      <name val="Aptos"/>
    </font>
    <font>
      <b/>
      <sz val="10"/>
      <color rgb="FFFFFFFF"/>
      <name val="Aptos"/>
    </font>
    <font>
      <i/>
      <sz val="9"/>
      <color rgb="FF44546A"/>
      <name val="Aptos"/>
    </font>
    <font>
      <sz val="10"/>
      <color rgb="FF008000"/>
      <name val="Aptos"/>
    </font>
  </fonts>
  <fills count="10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F3F4F6"/>
      </patternFill>
    </fill>
    <fill>
      <patternFill patternType="solid">
        <fgColor rgb="FFFFF2CC"/>
      </patternFill>
    </fill>
    <fill>
      <patternFill patternType="solid">
        <fgColor rgb="FFEDF5FB"/>
      </patternFill>
    </fill>
    <fill>
      <patternFill patternType="solid">
        <fgColor rgb="FFD9F0F0"/>
      </patternFill>
    </fill>
    <fill>
      <patternFill patternType="solid">
        <fgColor rgb="FF5B9BD5"/>
      </patternFill>
    </fill>
    <fill>
      <patternFill patternType="solid">
        <fgColor rgb="FFE2F0D9"/>
      </patternFill>
    </fill>
    <fill>
      <patternFill patternType="solid">
        <fgColor rgb="FFFCE4D6"/>
      </patternFill>
    </fill>
  </fills>
  <borders count="4">
    <border>
      <left/>
      <right/>
      <top/>
      <bottom/>
      <diagonal/>
    </border>
    <border>
      <left/>
      <right/>
      <top style="medium">
        <color rgb="FF17365D"/>
      </top>
      <bottom/>
      <diagonal/>
    </border>
    <border>
      <left/>
      <right/>
      <top style="thin">
        <color rgb="FF9AA5B1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3" borderId="0" xfId="0" applyFont="1" applyFill="1" applyAlignment="1">
      <alignment horizontal="left"/>
    </xf>
    <xf numFmtId="164" fontId="5" fillId="4" borderId="0" xfId="0" applyNumberFormat="1" applyFont="1" applyFill="1" applyAlignment="1">
      <alignment horizontal="center"/>
    </xf>
    <xf numFmtId="0" fontId="4" fillId="3" borderId="0" xfId="0" applyFont="1" applyFill="1" applyAlignment="1">
      <alignment vertical="center"/>
    </xf>
    <xf numFmtId="165" fontId="5" fillId="4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166" fontId="6" fillId="5" borderId="0" xfId="0" applyNumberFormat="1" applyFont="1" applyFill="1" applyAlignment="1">
      <alignment horizontal="center"/>
    </xf>
    <xf numFmtId="166" fontId="8" fillId="6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 wrapText="1"/>
    </xf>
    <xf numFmtId="164" fontId="8" fillId="6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/>
    </xf>
    <xf numFmtId="167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7" fontId="6" fillId="5" borderId="0" xfId="0" applyNumberFormat="1" applyFont="1" applyFill="1" applyAlignment="1">
      <alignment horizontal="center"/>
    </xf>
    <xf numFmtId="165" fontId="6" fillId="5" borderId="0" xfId="0" applyNumberFormat="1" applyFont="1" applyFill="1" applyAlignment="1">
      <alignment horizontal="center"/>
    </xf>
    <xf numFmtId="167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4" fillId="8" borderId="1" xfId="0" applyFont="1" applyFill="1" applyBorder="1" applyAlignment="1">
      <alignment vertical="center"/>
    </xf>
    <xf numFmtId="167" fontId="4" fillId="8" borderId="1" xfId="0" applyNumberFormat="1" applyFont="1" applyFill="1" applyBorder="1"/>
    <xf numFmtId="0" fontId="4" fillId="8" borderId="1" xfId="0" applyFont="1" applyFill="1" applyBorder="1"/>
    <xf numFmtId="165" fontId="4" fillId="8" borderId="1" xfId="0" applyNumberFormat="1" applyFont="1" applyFill="1" applyBorder="1"/>
    <xf numFmtId="164" fontId="4" fillId="8" borderId="1" xfId="0" applyNumberFormat="1" applyFont="1" applyFill="1" applyBorder="1" applyAlignment="1">
      <alignment vertical="center"/>
    </xf>
    <xf numFmtId="165" fontId="4" fillId="8" borderId="1" xfId="0" applyNumberFormat="1" applyFont="1" applyFill="1" applyBorder="1" applyAlignment="1">
      <alignment vertical="center"/>
    </xf>
    <xf numFmtId="166" fontId="5" fillId="4" borderId="0" xfId="0" applyNumberFormat="1" applyFont="1" applyFill="1" applyAlignment="1">
      <alignment horizontal="center"/>
    </xf>
    <xf numFmtId="165" fontId="11" fillId="5" borderId="0" xfId="0" applyNumberFormat="1" applyFont="1" applyFill="1" applyAlignment="1">
      <alignment horizontal="center"/>
    </xf>
    <xf numFmtId="0" fontId="9" fillId="7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166" fontId="6" fillId="5" borderId="3" xfId="0" applyNumberFormat="1" applyFont="1" applyFill="1" applyBorder="1" applyAlignment="1">
      <alignment horizontal="center"/>
    </xf>
    <xf numFmtId="167" fontId="6" fillId="5" borderId="3" xfId="0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vertical="center"/>
    </xf>
    <xf numFmtId="0" fontId="0" fillId="0" borderId="2" xfId="0" applyBorder="1"/>
    <xf numFmtId="165" fontId="4" fillId="8" borderId="2" xfId="0" applyNumberFormat="1" applyFont="1" applyFill="1" applyBorder="1" applyAlignment="1">
      <alignment vertical="center"/>
    </xf>
    <xf numFmtId="164" fontId="6" fillId="5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0" fillId="9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showGridLines="0" tabSelected="1" workbookViewId="0">
      <selection sqref="A1:M1"/>
    </sheetView>
  </sheetViews>
  <sheetFormatPr baseColWidth="10" defaultColWidth="8.83203125" defaultRowHeight="15" x14ac:dyDescent="0.2"/>
  <cols>
    <col min="1" max="1" width="24" customWidth="1"/>
    <col min="2" max="2" width="14" customWidth="1"/>
    <col min="3" max="3" width="16" customWidth="1"/>
    <col min="4" max="4" width="13" customWidth="1"/>
    <col min="5" max="5" width="14" customWidth="1"/>
    <col min="6" max="6" width="20" customWidth="1"/>
    <col min="7" max="7" width="18" customWidth="1"/>
    <col min="8" max="8" width="22" customWidth="1"/>
    <col min="9" max="10" width="16" customWidth="1"/>
    <col min="11" max="11" width="20" customWidth="1"/>
    <col min="12" max="13" width="18" customWidth="1"/>
    <col min="14" max="14" width="2" customWidth="1"/>
  </cols>
  <sheetData>
    <row r="1" spans="1:13" ht="24" customHeight="1" x14ac:dyDescent="0.2">
      <c r="A1" s="39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">
      <c r="A2" s="42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4" spans="1:13" x14ac:dyDescent="0.2">
      <c r="A4" s="37" t="s">
        <v>2</v>
      </c>
      <c r="B4" s="38"/>
      <c r="E4" s="37" t="s">
        <v>3</v>
      </c>
      <c r="F4" s="38"/>
      <c r="I4" s="37" t="s">
        <v>4</v>
      </c>
      <c r="J4" s="38"/>
    </row>
    <row r="5" spans="1:13" ht="16" x14ac:dyDescent="0.2">
      <c r="A5" s="1" t="s">
        <v>5</v>
      </c>
      <c r="B5" s="2">
        <v>30</v>
      </c>
      <c r="E5" s="3" t="s">
        <v>6</v>
      </c>
      <c r="F5" s="4">
        <v>0.03</v>
      </c>
      <c r="I5" s="3" t="s">
        <v>7</v>
      </c>
      <c r="J5" s="5">
        <f>SUM(I14:I18)</f>
        <v>179.83999999999997</v>
      </c>
    </row>
    <row r="6" spans="1:13" ht="16" x14ac:dyDescent="0.2">
      <c r="A6" s="1" t="s">
        <v>8</v>
      </c>
      <c r="B6" s="6" t="s">
        <v>9</v>
      </c>
      <c r="E6" s="3" t="s">
        <v>10</v>
      </c>
      <c r="F6" s="4">
        <v>0.05</v>
      </c>
      <c r="I6" s="3" t="s">
        <v>11</v>
      </c>
      <c r="J6" s="5">
        <f>SUM(L14:L18)</f>
        <v>162.02838709677417</v>
      </c>
    </row>
    <row r="7" spans="1:13" ht="16" x14ac:dyDescent="0.2">
      <c r="A7" s="1" t="s">
        <v>12</v>
      </c>
      <c r="B7" s="7">
        <f>IF(B6="Air Pump",'Overrun Guide'!$B$5,IF(B6="Gravity",'Overrun Guide'!$B$6,'Overrun Guide'!#REF!))</f>
        <v>0.55000000000000004</v>
      </c>
      <c r="E7" s="3" t="s">
        <v>13</v>
      </c>
      <c r="F7" s="4">
        <v>0.06</v>
      </c>
      <c r="I7" s="3" t="s">
        <v>14</v>
      </c>
      <c r="J7" s="8">
        <f>IF(J5=0,0,J6/J5)</f>
        <v>0.90095855814487424</v>
      </c>
    </row>
    <row r="8" spans="1:13" ht="16" x14ac:dyDescent="0.2">
      <c r="A8" s="1" t="s">
        <v>15</v>
      </c>
      <c r="B8" s="4">
        <v>7.0000000000000007E-2</v>
      </c>
      <c r="E8" s="3" t="s">
        <v>16</v>
      </c>
      <c r="F8" s="4">
        <v>0.1</v>
      </c>
      <c r="I8" s="3" t="s">
        <v>17</v>
      </c>
      <c r="J8" s="5">
        <f>'Overrun Guide'!$B$24</f>
        <v>565.16129032258209</v>
      </c>
      <c r="K8" t="s">
        <v>18</v>
      </c>
    </row>
    <row r="9" spans="1:13" ht="30" x14ac:dyDescent="0.2">
      <c r="A9" s="1" t="s">
        <v>19</v>
      </c>
      <c r="B9" s="9" t="s">
        <v>20</v>
      </c>
      <c r="E9" s="3" t="s">
        <v>21</v>
      </c>
      <c r="F9" s="4">
        <v>0.2</v>
      </c>
      <c r="I9" s="3" t="s">
        <v>22</v>
      </c>
      <c r="J9" s="10">
        <f>SUM(E14:E18)</f>
        <v>36</v>
      </c>
    </row>
    <row r="12" spans="1:13" ht="22" customHeight="1" x14ac:dyDescent="0.2">
      <c r="A12" s="40" t="s">
        <v>23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ht="22" customHeight="1" x14ac:dyDescent="0.2">
      <c r="A13" s="11" t="s">
        <v>24</v>
      </c>
      <c r="B13" s="11" t="s">
        <v>25</v>
      </c>
      <c r="C13" s="11" t="s">
        <v>26</v>
      </c>
      <c r="D13" s="11" t="s">
        <v>27</v>
      </c>
      <c r="E13" s="11" t="s">
        <v>28</v>
      </c>
      <c r="F13" s="11" t="s">
        <v>29</v>
      </c>
      <c r="G13" s="11" t="s">
        <v>30</v>
      </c>
      <c r="H13" s="11" t="s">
        <v>31</v>
      </c>
      <c r="I13" s="11" t="s">
        <v>32</v>
      </c>
      <c r="J13" s="11" t="s">
        <v>33</v>
      </c>
      <c r="K13" s="11" t="s">
        <v>34</v>
      </c>
      <c r="L13" s="11" t="s">
        <v>35</v>
      </c>
      <c r="M13" s="11" t="s">
        <v>36</v>
      </c>
    </row>
    <row r="14" spans="1:13" x14ac:dyDescent="0.2">
      <c r="A14" s="12" t="s">
        <v>6</v>
      </c>
      <c r="B14" s="13">
        <v>8</v>
      </c>
      <c r="C14" s="14" t="s">
        <v>6</v>
      </c>
      <c r="D14" s="4">
        <v>3.49</v>
      </c>
      <c r="E14" s="2">
        <v>8</v>
      </c>
      <c r="F14" s="15">
        <f>B14/(1+$B$7)</f>
        <v>5.161290322580645</v>
      </c>
      <c r="G14" s="16">
        <f>F14*$B$8</f>
        <v>0.3612903225806452</v>
      </c>
      <c r="H14" s="16">
        <f>$F$5</f>
        <v>0.03</v>
      </c>
      <c r="I14" s="16">
        <f>D14*E14</f>
        <v>27.92</v>
      </c>
      <c r="J14" s="16">
        <f>G14*E14</f>
        <v>2.8903225806451616</v>
      </c>
      <c r="K14" s="16">
        <f>H14*E14</f>
        <v>0.24</v>
      </c>
      <c r="L14" s="16">
        <f>I14-J14-K14</f>
        <v>24.789677419354842</v>
      </c>
      <c r="M14" s="16">
        <f>L14*$B$5</f>
        <v>743.69032258064522</v>
      </c>
    </row>
    <row r="15" spans="1:13" x14ac:dyDescent="0.2">
      <c r="A15" s="12" t="s">
        <v>37</v>
      </c>
      <c r="B15" s="13">
        <v>4</v>
      </c>
      <c r="C15" s="14" t="s">
        <v>13</v>
      </c>
      <c r="D15" s="4">
        <v>1.89</v>
      </c>
      <c r="E15" s="2">
        <v>2</v>
      </c>
      <c r="F15" s="15">
        <f>B15/(1+$B$7)</f>
        <v>2.5806451612903225</v>
      </c>
      <c r="G15" s="16">
        <f>F15*$B$8</f>
        <v>0.1806451612903226</v>
      </c>
      <c r="H15" s="16">
        <f>$F$7</f>
        <v>0.06</v>
      </c>
      <c r="I15" s="16">
        <f>D15*E15</f>
        <v>3.78</v>
      </c>
      <c r="J15" s="16">
        <f>G15*E15</f>
        <v>0.3612903225806452</v>
      </c>
      <c r="K15" s="16">
        <f>H15*E15</f>
        <v>0.12</v>
      </c>
      <c r="L15" s="16">
        <f>I15-J15-K15</f>
        <v>3.2987096774193545</v>
      </c>
      <c r="M15" s="16">
        <f>L15*$B$5</f>
        <v>98.961290322580638</v>
      </c>
    </row>
    <row r="16" spans="1:13" x14ac:dyDescent="0.2">
      <c r="A16" s="12" t="s">
        <v>38</v>
      </c>
      <c r="B16" s="13">
        <v>6</v>
      </c>
      <c r="C16" s="14" t="s">
        <v>16</v>
      </c>
      <c r="D16" s="4">
        <v>2.89</v>
      </c>
      <c r="E16" s="2">
        <v>4</v>
      </c>
      <c r="F16" s="15">
        <f>B16/(1+$B$7)</f>
        <v>3.8709677419354835</v>
      </c>
      <c r="G16" s="16">
        <f>F16*$B$8</f>
        <v>0.2709677419354839</v>
      </c>
      <c r="H16" s="16">
        <f>$F$8</f>
        <v>0.1</v>
      </c>
      <c r="I16" s="16">
        <f>D16*E16</f>
        <v>11.56</v>
      </c>
      <c r="J16" s="16">
        <f>G16*E16</f>
        <v>1.0838709677419356</v>
      </c>
      <c r="K16" s="16">
        <f>H16*E16</f>
        <v>0.4</v>
      </c>
      <c r="L16" s="16">
        <f>I16-J16-K16</f>
        <v>10.076129032258065</v>
      </c>
      <c r="M16" s="16">
        <f>L16*$B$5</f>
        <v>302.28387096774196</v>
      </c>
    </row>
    <row r="17" spans="1:13" x14ac:dyDescent="0.2">
      <c r="A17" s="12" t="s">
        <v>39</v>
      </c>
      <c r="B17" s="13">
        <v>8</v>
      </c>
      <c r="C17" s="14" t="s">
        <v>21</v>
      </c>
      <c r="D17" s="4">
        <v>5.39</v>
      </c>
      <c r="E17" s="2">
        <v>10</v>
      </c>
      <c r="F17" s="15">
        <f>B17/(1+$B$7)</f>
        <v>5.161290322580645</v>
      </c>
      <c r="G17" s="16">
        <f>F17*$B$8</f>
        <v>0.3612903225806452</v>
      </c>
      <c r="H17" s="16">
        <f>$F$9</f>
        <v>0.2</v>
      </c>
      <c r="I17" s="16">
        <f>D17*E17</f>
        <v>53.9</v>
      </c>
      <c r="J17" s="16">
        <f>G17*E17</f>
        <v>3.612903225806452</v>
      </c>
      <c r="K17" s="16">
        <f>H17*E17</f>
        <v>2</v>
      </c>
      <c r="L17" s="16">
        <f>I17-J17-K17</f>
        <v>48.287096774193543</v>
      </c>
      <c r="M17" s="16">
        <f>L17*$B$5</f>
        <v>1448.6129032258063</v>
      </c>
    </row>
    <row r="18" spans="1:13" x14ac:dyDescent="0.2">
      <c r="A18" s="12" t="s">
        <v>40</v>
      </c>
      <c r="B18" s="13">
        <v>12</v>
      </c>
      <c r="C18" s="14" t="s">
        <v>10</v>
      </c>
      <c r="D18" s="4">
        <v>6.89</v>
      </c>
      <c r="E18" s="2">
        <v>12</v>
      </c>
      <c r="F18" s="15">
        <f>B18/(1+$B$7)</f>
        <v>7.7419354838709671</v>
      </c>
      <c r="G18" s="16">
        <f>F18*$B$8</f>
        <v>0.54193548387096779</v>
      </c>
      <c r="H18" s="16">
        <f>$F$6</f>
        <v>0.05</v>
      </c>
      <c r="I18" s="16">
        <f>D18*E18</f>
        <v>82.679999999999993</v>
      </c>
      <c r="J18" s="16">
        <f>G18*E18</f>
        <v>6.5032258064516135</v>
      </c>
      <c r="K18" s="16">
        <f>H18*E18</f>
        <v>0.60000000000000009</v>
      </c>
      <c r="L18" s="16">
        <f>I18-J18-K18</f>
        <v>75.576774193548388</v>
      </c>
      <c r="M18" s="16">
        <f>L18*$B$5</f>
        <v>2267.3032258064518</v>
      </c>
    </row>
    <row r="19" spans="1:13" x14ac:dyDescent="0.2">
      <c r="B19" s="17"/>
      <c r="D19" s="18"/>
      <c r="E19" s="19"/>
      <c r="F19" s="17"/>
      <c r="G19" s="18"/>
      <c r="H19" s="18"/>
      <c r="I19" s="18"/>
      <c r="J19" s="18"/>
      <c r="K19" s="18"/>
      <c r="L19" s="18"/>
      <c r="M19" s="18"/>
    </row>
    <row r="20" spans="1:13" x14ac:dyDescent="0.2">
      <c r="A20" s="20" t="s">
        <v>41</v>
      </c>
      <c r="B20" s="21"/>
      <c r="C20" s="22"/>
      <c r="D20" s="23"/>
      <c r="E20" s="24">
        <f>SUM(E14:E18)</f>
        <v>36</v>
      </c>
      <c r="F20" s="21"/>
      <c r="G20" s="23"/>
      <c r="H20" s="23"/>
      <c r="I20" s="25">
        <f>SUM(I14:I18)</f>
        <v>179.83999999999997</v>
      </c>
      <c r="J20" s="25">
        <f>SUM(J14:J18)</f>
        <v>14.451612903225808</v>
      </c>
      <c r="K20" s="25">
        <f>SUM(K14:K18)</f>
        <v>3.36</v>
      </c>
      <c r="L20" s="25">
        <f>SUM(L14:L18)</f>
        <v>162.02838709677417</v>
      </c>
      <c r="M20" s="25">
        <f>SUM(M14:M18)</f>
        <v>4860.8516129032259</v>
      </c>
    </row>
    <row r="22" spans="1:13" ht="22" customHeight="1" x14ac:dyDescent="0.2">
      <c r="A22" s="41" t="s">
        <v>42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22" customHeight="1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</sheetData>
  <mergeCells count="7">
    <mergeCell ref="A22:M23"/>
    <mergeCell ref="A2:M2"/>
    <mergeCell ref="A4:B4"/>
    <mergeCell ref="E4:F4"/>
    <mergeCell ref="I4:J4"/>
    <mergeCell ref="A1:M1"/>
    <mergeCell ref="A12:M12"/>
  </mergeCells>
  <dataValidations count="1">
    <dataValidation type="list" sqref="B6" xr:uid="{00000000-0002-0000-0000-000000000000}">
      <formula1>"Air Pump,Gravity,Custom"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showGridLines="0" workbookViewId="0">
      <selection activeCell="B41" sqref="B41"/>
    </sheetView>
  </sheetViews>
  <sheetFormatPr baseColWidth="10" defaultColWidth="8.83203125" defaultRowHeight="15" x14ac:dyDescent="0.2"/>
  <cols>
    <col min="1" max="1" width="26" customWidth="1"/>
    <col min="2" max="2" width="14" customWidth="1"/>
    <col min="3" max="3" width="16" customWidth="1"/>
    <col min="4" max="4" width="14" customWidth="1"/>
    <col min="5" max="5" width="16" customWidth="1"/>
    <col min="6" max="6" width="14" customWidth="1"/>
    <col min="7" max="7" width="16" customWidth="1"/>
    <col min="8" max="8" width="14" customWidth="1"/>
    <col min="9" max="9" width="16" customWidth="1"/>
    <col min="10" max="10" width="14" customWidth="1"/>
    <col min="11" max="11" width="2" customWidth="1"/>
  </cols>
  <sheetData>
    <row r="1" spans="1:11" ht="24" customHeight="1" x14ac:dyDescent="0.2">
      <c r="A1" s="44" t="s">
        <v>43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">
      <c r="A2" s="43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4" spans="1:11" x14ac:dyDescent="0.2">
      <c r="A4" s="40" t="s">
        <v>45</v>
      </c>
      <c r="B4" s="38"/>
      <c r="C4" s="38"/>
    </row>
    <row r="5" spans="1:11" x14ac:dyDescent="0.2">
      <c r="A5" s="3" t="s">
        <v>46</v>
      </c>
      <c r="B5" s="26">
        <v>0.55000000000000004</v>
      </c>
    </row>
    <row r="6" spans="1:11" x14ac:dyDescent="0.2">
      <c r="A6" s="3" t="s">
        <v>47</v>
      </c>
      <c r="B6" s="26">
        <v>0.4</v>
      </c>
    </row>
    <row r="7" spans="1:11" x14ac:dyDescent="0.2">
      <c r="A7" s="3" t="s">
        <v>48</v>
      </c>
      <c r="B7" s="27">
        <f>'Dealer Calculator'!$B$8</f>
        <v>7.0000000000000007E-2</v>
      </c>
    </row>
    <row r="9" spans="1:11" ht="22" customHeight="1" x14ac:dyDescent="0.2">
      <c r="A9" s="40" t="s">
        <v>49</v>
      </c>
      <c r="B9" s="38"/>
      <c r="C9" s="38"/>
      <c r="D9" s="38"/>
      <c r="E9" s="38"/>
      <c r="F9" s="38"/>
      <c r="G9" s="38"/>
      <c r="H9" s="38"/>
      <c r="I9" s="38"/>
      <c r="J9" s="38"/>
    </row>
    <row r="10" spans="1:11" ht="22" customHeight="1" x14ac:dyDescent="0.2">
      <c r="A10" s="28" t="s">
        <v>50</v>
      </c>
      <c r="B10" s="28" t="s">
        <v>51</v>
      </c>
      <c r="C10" s="28" t="s">
        <v>52</v>
      </c>
      <c r="D10" s="28" t="s">
        <v>53</v>
      </c>
      <c r="E10" s="28" t="s">
        <v>54</v>
      </c>
      <c r="F10" s="28" t="s">
        <v>55</v>
      </c>
      <c r="G10" s="28" t="s">
        <v>56</v>
      </c>
      <c r="H10" s="28" t="s">
        <v>57</v>
      </c>
      <c r="I10" s="28" t="s">
        <v>58</v>
      </c>
      <c r="J10" s="28" t="s">
        <v>59</v>
      </c>
    </row>
    <row r="11" spans="1:11" x14ac:dyDescent="0.2">
      <c r="A11" s="29" t="s">
        <v>9</v>
      </c>
      <c r="B11" s="30">
        <f>$B$5</f>
        <v>0.55000000000000004</v>
      </c>
      <c r="C11" s="31">
        <f>4/(1+B11)</f>
        <v>2.5806451612903225</v>
      </c>
      <c r="D11" s="32">
        <f>C11*$B$7</f>
        <v>0.1806451612903226</v>
      </c>
      <c r="E11" s="31">
        <f>6/(1+B11)</f>
        <v>3.8709677419354835</v>
      </c>
      <c r="F11" s="32">
        <f>E11*$B$7</f>
        <v>0.2709677419354839</v>
      </c>
      <c r="G11" s="31">
        <f>8/(1+B11)</f>
        <v>5.161290322580645</v>
      </c>
      <c r="H11" s="32">
        <f>G11*$B$7</f>
        <v>0.3612903225806452</v>
      </c>
      <c r="I11" s="31">
        <f>12/(1+B11)</f>
        <v>7.7419354838709671</v>
      </c>
      <c r="J11" s="32">
        <f>I11*$B$7</f>
        <v>0.54193548387096779</v>
      </c>
    </row>
    <row r="12" spans="1:11" x14ac:dyDescent="0.2">
      <c r="A12" s="29" t="s">
        <v>18</v>
      </c>
      <c r="B12" s="30">
        <f>$B$6</f>
        <v>0.4</v>
      </c>
      <c r="C12" s="31">
        <f>4/(1+B12)</f>
        <v>2.8571428571428572</v>
      </c>
      <c r="D12" s="32">
        <f>C12*$B$7</f>
        <v>0.2</v>
      </c>
      <c r="E12" s="31">
        <f>6/(1+B12)</f>
        <v>4.2857142857142856</v>
      </c>
      <c r="F12" s="32">
        <f>E12*$B$7</f>
        <v>0.30000000000000004</v>
      </c>
      <c r="G12" s="31">
        <f>8/(1+B12)</f>
        <v>5.7142857142857144</v>
      </c>
      <c r="H12" s="32">
        <f>G12*$B$7</f>
        <v>0.4</v>
      </c>
      <c r="I12" s="31">
        <f>12/(1+B12)</f>
        <v>8.5714285714285712</v>
      </c>
      <c r="J12" s="32">
        <f>I12*$B$7</f>
        <v>0.60000000000000009</v>
      </c>
    </row>
    <row r="13" spans="1:11" x14ac:dyDescent="0.2">
      <c r="A13" s="33" t="s">
        <v>60</v>
      </c>
      <c r="B13" s="34"/>
      <c r="C13" s="34"/>
      <c r="D13" s="35">
        <f>D12-D11</f>
        <v>1.9354838709677413E-2</v>
      </c>
      <c r="E13" s="34"/>
      <c r="F13" s="35">
        <f>F12-F11</f>
        <v>2.9032258064516148E-2</v>
      </c>
      <c r="G13" s="34"/>
      <c r="H13" s="35">
        <f>H12-H11</f>
        <v>3.8709677419354827E-2</v>
      </c>
      <c r="I13" s="34"/>
      <c r="J13" s="35">
        <f>J12-J11</f>
        <v>5.8064516129032295E-2</v>
      </c>
    </row>
    <row r="15" spans="1:11" ht="22" customHeight="1" x14ac:dyDescent="0.2">
      <c r="A15" s="40" t="s">
        <v>61</v>
      </c>
      <c r="B15" s="38"/>
      <c r="C15" s="38"/>
      <c r="E15" s="40" t="s">
        <v>62</v>
      </c>
      <c r="F15" s="38"/>
      <c r="G15" s="38"/>
      <c r="H15" s="38"/>
      <c r="I15" s="38"/>
      <c r="J15" s="38"/>
    </row>
    <row r="16" spans="1:11" ht="16" x14ac:dyDescent="0.2">
      <c r="A16" s="3" t="s">
        <v>63</v>
      </c>
      <c r="B16" s="36">
        <f>'Dealer Calculator'!$E$20</f>
        <v>36</v>
      </c>
      <c r="E16" s="3" t="s">
        <v>64</v>
      </c>
      <c r="F16" s="5">
        <f>H11</f>
        <v>0.3612903225806452</v>
      </c>
    </row>
    <row r="17" spans="1:10" ht="16" x14ac:dyDescent="0.2">
      <c r="A17" s="3" t="s">
        <v>65</v>
      </c>
      <c r="B17" s="15">
        <f>('Dealer Calculator'!$B$14*'Dealer Calculator'!$E$14)+('Dealer Calculator'!$B$15*'Dealer Calculator'!$E$15)+('Dealer Calculator'!$B$16*'Dealer Calculator'!$E$16)+('Dealer Calculator'!$B$17*'Dealer Calculator'!$E$17)+('Dealer Calculator'!$B$18*'Dealer Calculator'!$E$18)</f>
        <v>320</v>
      </c>
      <c r="E17" s="3" t="s">
        <v>66</v>
      </c>
      <c r="F17" s="5">
        <f>H12</f>
        <v>0.4</v>
      </c>
    </row>
    <row r="18" spans="1:10" ht="16" x14ac:dyDescent="0.2">
      <c r="A18" s="3" t="s">
        <v>67</v>
      </c>
      <c r="B18" s="15">
        <f>('Dealer Calculator'!$B$14*'Dealer Calculator'!$E$14)/(1+$B$5)+('Dealer Calculator'!$B$15*'Dealer Calculator'!$E$15)/(1+$B$5)+('Dealer Calculator'!$B$16*'Dealer Calculator'!$E$16)/(1+$B$5)+('Dealer Calculator'!$B$17*'Dealer Calculator'!$E$17)/(1+$B$5)+('Dealer Calculator'!$B$18*'Dealer Calculator'!$E$18)/(1+$B$5)</f>
        <v>206.45161290322579</v>
      </c>
      <c r="E18" s="3" t="s">
        <v>68</v>
      </c>
      <c r="F18" s="5">
        <f>H12-H11</f>
        <v>3.8709677419354827E-2</v>
      </c>
    </row>
    <row r="19" spans="1:10" ht="16" x14ac:dyDescent="0.2">
      <c r="A19" s="3" t="s">
        <v>69</v>
      </c>
      <c r="B19" s="15">
        <f>('Dealer Calculator'!$B$14*'Dealer Calculator'!$E$14)/(1+$B$6)+('Dealer Calculator'!$B$15*'Dealer Calculator'!$E$15)/(1+$B$6)+('Dealer Calculator'!$B$16*'Dealer Calculator'!$E$16)/(1+$B$6)+('Dealer Calculator'!$B$17*'Dealer Calculator'!$E$17)/(1+$B$6)+('Dealer Calculator'!$B$18*'Dealer Calculator'!$E$18)/(1+$B$6)</f>
        <v>228.57142857142858</v>
      </c>
      <c r="E19" s="3" t="s">
        <v>70</v>
      </c>
      <c r="F19" s="5">
        <f>J12-J11</f>
        <v>5.8064516129032295E-2</v>
      </c>
    </row>
    <row r="20" spans="1:10" ht="16" x14ac:dyDescent="0.2">
      <c r="A20" s="3" t="s">
        <v>71</v>
      </c>
      <c r="B20" s="16">
        <f>B18*$B$7</f>
        <v>14.451612903225806</v>
      </c>
      <c r="E20" s="3" t="s">
        <v>72</v>
      </c>
      <c r="F20" s="5">
        <f>B22</f>
        <v>1.5483870967741975</v>
      </c>
    </row>
    <row r="21" spans="1:10" ht="16" x14ac:dyDescent="0.2">
      <c r="A21" s="3" t="s">
        <v>73</v>
      </c>
      <c r="B21" s="16">
        <f>B19*$B$7</f>
        <v>16.000000000000004</v>
      </c>
      <c r="E21" s="3" t="s">
        <v>74</v>
      </c>
      <c r="F21" s="5">
        <f>B24</f>
        <v>565.16129032258209</v>
      </c>
    </row>
    <row r="22" spans="1:10" ht="16" x14ac:dyDescent="0.2">
      <c r="A22" s="3" t="s">
        <v>75</v>
      </c>
      <c r="B22" s="5">
        <f>B21-B20</f>
        <v>1.5483870967741975</v>
      </c>
    </row>
    <row r="23" spans="1:10" ht="16" x14ac:dyDescent="0.2">
      <c r="A23" s="3" t="s">
        <v>76</v>
      </c>
      <c r="B23" s="5">
        <f>B22*'Dealer Calculator'!$B$5</f>
        <v>46.451612903225922</v>
      </c>
    </row>
    <row r="24" spans="1:10" ht="16" x14ac:dyDescent="0.2">
      <c r="A24" s="3" t="s">
        <v>77</v>
      </c>
      <c r="B24" s="5">
        <f>B22*365</f>
        <v>565.16129032258209</v>
      </c>
    </row>
    <row r="26" spans="1:10" ht="22" customHeight="1" x14ac:dyDescent="0.2">
      <c r="A26" s="41" t="s">
        <v>78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22" customHeight="1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</row>
  </sheetData>
  <mergeCells count="7">
    <mergeCell ref="A1:K1"/>
    <mergeCell ref="E15:J15"/>
    <mergeCell ref="A2:K2"/>
    <mergeCell ref="A15:C15"/>
    <mergeCell ref="A26:J27"/>
    <mergeCell ref="A4:C4"/>
    <mergeCell ref="A9:J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Dealer Calculator</vt:lpstr>
      <vt:lpstr>Overrun 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Jeff Resnick</cp:lastModifiedBy>
  <dcterms:created xsi:type="dcterms:W3CDTF">2026-04-03T13:11:03Z</dcterms:created>
  <dcterms:modified xsi:type="dcterms:W3CDTF">2026-04-03T13:12:25Z</dcterms:modified>
</cp:coreProperties>
</file>